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E1">
      <text>
        <t xml:space="preserve">Capicators and Resistors not included.
	-James Talbert</t>
      </text>
    </comment>
  </commentList>
</comments>
</file>

<file path=xl/sharedStrings.xml><?xml version="1.0" encoding="utf-8"?>
<sst xmlns="http://schemas.openxmlformats.org/spreadsheetml/2006/main" count="138" uniqueCount="91">
  <si>
    <t>Manufacturer</t>
  </si>
  <si>
    <t>Mfr. Part #</t>
  </si>
  <si>
    <t>Vendor</t>
  </si>
  <si>
    <t>Vendor Part #</t>
  </si>
  <si>
    <t>Usage</t>
  </si>
  <si>
    <t>Notes</t>
  </si>
  <si>
    <t>Quantity</t>
  </si>
  <si>
    <t>Unit Cost</t>
  </si>
  <si>
    <t>Total</t>
  </si>
  <si>
    <t>Grand Total</t>
  </si>
  <si>
    <t>Samtec</t>
  </si>
  <si>
    <t>ESQ-106-12-L-D</t>
  </si>
  <si>
    <t>Mouser</t>
  </si>
  <si>
    <t>200-ESQ10612LD</t>
  </si>
  <si>
    <t>Zybo Vertical PMOD Connectors</t>
  </si>
  <si>
    <t>11.05 mm Stack Height
8.51 mm Insulation Height
~6 mm Mating Length
Short Posts</t>
  </si>
  <si>
    <t>ESQ-106-13-L-D</t>
  </si>
  <si>
    <t>200-ESQ10613LD</t>
  </si>
  <si>
    <t>Zybo PMOD Stackers (6)
Shield PMOD Connectors (6)</t>
  </si>
  <si>
    <t>11.05 mm Stack Height
8.51 mm Insulation Height
~6 mm Mating Length
Long Posts</t>
  </si>
  <si>
    <t>ESQ-102-12-L-D</t>
  </si>
  <si>
    <t>200-ESQ10212LD</t>
  </si>
  <si>
    <t>Zybo Power Input Connector</t>
  </si>
  <si>
    <t>ESQ-102-13-L-D</t>
  </si>
  <si>
    <t>200-ESQ10213LD</t>
  </si>
  <si>
    <t>Zybo Power Stacker
Shield Power Output Connector</t>
  </si>
  <si>
    <t>Molex</t>
  </si>
  <si>
    <t>Digikey</t>
  </si>
  <si>
    <t>WM4900-ND</t>
  </si>
  <si>
    <t>Battery Power In
RC Power Out
UART1 Test/Expansion</t>
  </si>
  <si>
    <t>90° Locking Shroud
2-pin
Mates With Molex LLC 50-57-9402</t>
  </si>
  <si>
    <t>WM4902-ND</t>
  </si>
  <si>
    <t>Optical Flow Connector</t>
  </si>
  <si>
    <t>90° Locking Shroud
4-pin
Mates With Molex LLC 50-57-9404</t>
  </si>
  <si>
    <t>WM4904-ND</t>
  </si>
  <si>
    <t>LiDAR Connector
RC PWM Connector</t>
  </si>
  <si>
    <t>90° Locking Shroud
6-pin
Mates With Molex LLC 50-57-9406</t>
  </si>
  <si>
    <t>WM4800-ND</t>
  </si>
  <si>
    <t>I2C Test/Expansion</t>
  </si>
  <si>
    <t>Vertical Locking Shroud
2-pin
Mates With Molex LLC 50-57-9402</t>
  </si>
  <si>
    <t>WM4801-ND</t>
  </si>
  <si>
    <t>ESC Connector</t>
  </si>
  <si>
    <t>Vertical Locking Shroud
3-pin
Mates With Molex LLC 50-57-9403</t>
  </si>
  <si>
    <t>50-57-9402</t>
  </si>
  <si>
    <t>WM2900-ND</t>
  </si>
  <si>
    <t>Cable end for 2-pin locking conn</t>
  </si>
  <si>
    <t>50-57-9403</t>
  </si>
  <si>
    <t>WM2901-ND</t>
  </si>
  <si>
    <t>Cable end for 3-pin locking conn</t>
  </si>
  <si>
    <t>50-57-9404</t>
  </si>
  <si>
    <t>WM2902-ND</t>
  </si>
  <si>
    <t>Cable end for 4-pin locking conn</t>
  </si>
  <si>
    <t>50-57-9406</t>
  </si>
  <si>
    <t>WM2904-ND</t>
  </si>
  <si>
    <t>Cable end for 6-pin locking conn</t>
  </si>
  <si>
    <t>WM2512-ND</t>
  </si>
  <si>
    <t>Connector Receptacle</t>
  </si>
  <si>
    <t>Crimp</t>
  </si>
  <si>
    <t>SSW-104-01-G-D</t>
  </si>
  <si>
    <t>SAM10019-ND</t>
  </si>
  <si>
    <t>WiFi Board Connector</t>
  </si>
  <si>
    <t>Vertical 2x4 0.1" Socket
8.51 mm insulation height
~6 mm mating length
Short Posts</t>
  </si>
  <si>
    <t>SSW-104-01-G-S</t>
  </si>
  <si>
    <t>SAM11932-ND</t>
  </si>
  <si>
    <t>IMU Sockets</t>
  </si>
  <si>
    <t>Vertical 1x4 0.1" Socket
8.51 mm insulation height
~6 mm mating length
Short Posts</t>
  </si>
  <si>
    <t>Texas Instruments</t>
  </si>
  <si>
    <t>LM2678T-5.0/NOPB</t>
  </si>
  <si>
    <t>LM2678T-5.0/NOPB-ND</t>
  </si>
  <si>
    <t>5V Switching Voltage Regulator</t>
  </si>
  <si>
    <t>Vout = 5V, Vin = 8V to 40V
Switching freq. = 260 kHz
Max output current = 5A</t>
  </si>
  <si>
    <t>STMicroelectronics</t>
  </si>
  <si>
    <t>STPS1045D</t>
  </si>
  <si>
    <t>497-2754-5-ND</t>
  </si>
  <si>
    <t>Schottky Diode</t>
  </si>
  <si>
    <t>10A
0.84V Forward Voltage</t>
  </si>
  <si>
    <t>Murata Power Solutions Inc.</t>
  </si>
  <si>
    <t>12RS223C</t>
  </si>
  <si>
    <t>811-2100-ND</t>
  </si>
  <si>
    <t>Inductor</t>
  </si>
  <si>
    <t>22 uH</t>
  </si>
  <si>
    <t>Keystone Electronics</t>
  </si>
  <si>
    <t>Test Point</t>
  </si>
  <si>
    <t>Color: Red</t>
  </si>
  <si>
    <t>Color: Black</t>
  </si>
  <si>
    <t>Color: White</t>
  </si>
  <si>
    <t>Color: Orange</t>
  </si>
  <si>
    <t>Color: Yellow</t>
  </si>
  <si>
    <t>Sparkfun</t>
  </si>
  <si>
    <t>MPU-9250 Breakout</t>
  </si>
  <si>
    <t>IMU Board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</si>
</sst>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3">
    <font>
      <sz val="10.0"/>
      <color rgb="FF000000"/>
      <name val="Arial"/>
    </font>
    <font>
      <b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164" xfId="0" applyFont="1" applyNumberFormat="1"/>
    <xf borderId="0" fillId="0" fontId="1" numFmtId="164" xfId="0" applyFont="1" applyNumberFormat="1"/>
    <xf borderId="0" fillId="0" fontId="2" numFmtId="164" xfId="0" applyAlignment="1" applyFont="1" applyNumberFormat="1">
      <alignment readingOrder="0"/>
    </xf>
    <xf borderId="0" fillId="0" fontId="2" numFmtId="164" xfId="0" applyFont="1" applyNumberFormat="1"/>
    <xf borderId="0" fillId="0" fontId="2" numFmtId="0" xfId="0" applyAlignment="1" applyFont="1">
      <alignment readingOrder="0"/>
    </xf>
    <xf borderId="0" fillId="0" fontId="2" numFmtId="0" xfId="0" applyAlignment="1" applyFon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24.43"/>
    <col customWidth="1" min="2" max="2" width="17.57"/>
    <col customWidth="1" min="4" max="4" width="20.71"/>
    <col customWidth="1" min="5" max="5" width="28.0"/>
    <col customWidth="1" min="6" max="6" width="30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K1" s="1" t="s">
        <v>9</v>
      </c>
    </row>
    <row r="2">
      <c r="A2" s="2" t="s">
        <v>10</v>
      </c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  <c r="G2" s="2">
        <v>6.0</v>
      </c>
      <c r="H2" s="3">
        <v>2.24</v>
      </c>
      <c r="I2" s="4">
        <f t="shared" ref="I2:I26" si="1">H2*G2</f>
        <v>13.44</v>
      </c>
      <c r="K2" s="5">
        <f>SUM($I2:$I1005)</f>
        <v>113.3008</v>
      </c>
    </row>
    <row r="3">
      <c r="A3" s="2" t="s">
        <v>10</v>
      </c>
      <c r="B3" s="2" t="s">
        <v>16</v>
      </c>
      <c r="C3" s="2" t="s">
        <v>12</v>
      </c>
      <c r="D3" s="2" t="s">
        <v>17</v>
      </c>
      <c r="E3" s="2" t="s">
        <v>18</v>
      </c>
      <c r="F3" s="2" t="s">
        <v>19</v>
      </c>
      <c r="G3" s="2">
        <v>12.0</v>
      </c>
      <c r="H3" s="6">
        <f>IF(G3&gt;=10, 1.97, 2.39)</f>
        <v>1.97</v>
      </c>
      <c r="I3" s="7">
        <f t="shared" si="1"/>
        <v>23.64</v>
      </c>
    </row>
    <row r="4">
      <c r="A4" s="2" t="s">
        <v>10</v>
      </c>
      <c r="B4" s="2" t="s">
        <v>20</v>
      </c>
      <c r="C4" s="2" t="s">
        <v>12</v>
      </c>
      <c r="D4" s="2" t="s">
        <v>21</v>
      </c>
      <c r="E4" s="2" t="s">
        <v>22</v>
      </c>
      <c r="F4" s="2" t="s">
        <v>15</v>
      </c>
      <c r="G4" s="2">
        <v>1.0</v>
      </c>
      <c r="H4" s="6">
        <f>IF(G4&gt;=10, 0.732, 0.88)</f>
        <v>0.88</v>
      </c>
      <c r="I4" s="7">
        <f t="shared" si="1"/>
        <v>0.88</v>
      </c>
    </row>
    <row r="5">
      <c r="A5" s="2" t="s">
        <v>10</v>
      </c>
      <c r="B5" s="8" t="s">
        <v>23</v>
      </c>
      <c r="C5" s="2" t="s">
        <v>12</v>
      </c>
      <c r="D5" s="2" t="s">
        <v>24</v>
      </c>
      <c r="E5" s="2" t="s">
        <v>25</v>
      </c>
      <c r="F5" s="2" t="s">
        <v>19</v>
      </c>
      <c r="G5" s="2">
        <v>1.0</v>
      </c>
      <c r="H5" s="6">
        <f>IF(G5&gt;=10, 0.781, 0.94)</f>
        <v>0.94</v>
      </c>
      <c r="I5" s="7">
        <f t="shared" si="1"/>
        <v>0.94</v>
      </c>
    </row>
    <row r="6">
      <c r="A6" s="2" t="s">
        <v>26</v>
      </c>
      <c r="B6" s="8">
        <v>7.05530001E8</v>
      </c>
      <c r="C6" s="2" t="s">
        <v>27</v>
      </c>
      <c r="D6" s="2" t="s">
        <v>28</v>
      </c>
      <c r="E6" s="2" t="s">
        <v>29</v>
      </c>
      <c r="F6" s="2" t="s">
        <v>30</v>
      </c>
      <c r="G6" s="2">
        <v>3.0</v>
      </c>
      <c r="H6" s="6">
        <v>0.72</v>
      </c>
      <c r="I6" s="7">
        <f t="shared" si="1"/>
        <v>2.16</v>
      </c>
    </row>
    <row r="7">
      <c r="A7" s="2" t="s">
        <v>26</v>
      </c>
      <c r="B7" s="8">
        <v>7.05530003E8</v>
      </c>
      <c r="C7" s="2" t="s">
        <v>27</v>
      </c>
      <c r="D7" s="2" t="s">
        <v>31</v>
      </c>
      <c r="E7" s="2" t="s">
        <v>32</v>
      </c>
      <c r="F7" s="2" t="s">
        <v>33</v>
      </c>
      <c r="G7" s="2">
        <v>1.0</v>
      </c>
      <c r="H7" s="6">
        <f>IF(G7&gt;=10, 1.019, 1.16)</f>
        <v>1.16</v>
      </c>
      <c r="I7" s="7">
        <f t="shared" si="1"/>
        <v>1.16</v>
      </c>
    </row>
    <row r="8">
      <c r="A8" s="2" t="s">
        <v>26</v>
      </c>
      <c r="B8" s="8">
        <v>7.05530005E8</v>
      </c>
      <c r="C8" s="2" t="s">
        <v>27</v>
      </c>
      <c r="D8" s="2" t="s">
        <v>34</v>
      </c>
      <c r="E8" s="2" t="s">
        <v>35</v>
      </c>
      <c r="F8" s="2" t="s">
        <v>36</v>
      </c>
      <c r="G8" s="2">
        <v>2.0</v>
      </c>
      <c r="H8" s="6">
        <f>IF(G8&gt;=10, 1.636, 1.8)</f>
        <v>1.8</v>
      </c>
      <c r="I8" s="7">
        <f t="shared" si="1"/>
        <v>3.6</v>
      </c>
    </row>
    <row r="9">
      <c r="A9" s="2" t="s">
        <v>26</v>
      </c>
      <c r="B9" s="8">
        <v>7.05430001E8</v>
      </c>
      <c r="C9" s="2" t="s">
        <v>27</v>
      </c>
      <c r="D9" s="2" t="s">
        <v>37</v>
      </c>
      <c r="E9" s="2" t="s">
        <v>38</v>
      </c>
      <c r="F9" s="2" t="s">
        <v>39</v>
      </c>
      <c r="G9" s="2">
        <v>2.0</v>
      </c>
      <c r="H9" s="6">
        <f>IF(G9&gt;=10, 0.736, 0.84)</f>
        <v>0.84</v>
      </c>
      <c r="I9" s="7">
        <f t="shared" si="1"/>
        <v>1.68</v>
      </c>
    </row>
    <row r="10">
      <c r="A10" s="2" t="s">
        <v>26</v>
      </c>
      <c r="B10" s="8">
        <v>7.05430002E8</v>
      </c>
      <c r="C10" s="2" t="s">
        <v>27</v>
      </c>
      <c r="D10" s="2" t="s">
        <v>40</v>
      </c>
      <c r="E10" s="2" t="s">
        <v>41</v>
      </c>
      <c r="F10" s="2" t="s">
        <v>42</v>
      </c>
      <c r="G10" s="2">
        <v>4.0</v>
      </c>
      <c r="H10" s="6">
        <f>IF(G10&gt;=10, 0.805, 0.92)</f>
        <v>0.92</v>
      </c>
      <c r="I10" s="7">
        <f t="shared" si="1"/>
        <v>3.68</v>
      </c>
    </row>
    <row r="11">
      <c r="A11" s="2" t="s">
        <v>26</v>
      </c>
      <c r="B11" s="8" t="s">
        <v>43</v>
      </c>
      <c r="C11" s="2" t="s">
        <v>27</v>
      </c>
      <c r="D11" s="2" t="s">
        <v>44</v>
      </c>
      <c r="E11" s="2" t="s">
        <v>45</v>
      </c>
      <c r="F11" s="2"/>
      <c r="G11" s="2">
        <v>5.0</v>
      </c>
      <c r="H11" s="6">
        <f>IF(G11&gt;=10, 0.257, 0.27)</f>
        <v>0.27</v>
      </c>
      <c r="I11" s="7">
        <f t="shared" si="1"/>
        <v>1.35</v>
      </c>
    </row>
    <row r="12">
      <c r="A12" s="2" t="s">
        <v>26</v>
      </c>
      <c r="B12" s="2" t="s">
        <v>46</v>
      </c>
      <c r="C12" s="2" t="s">
        <v>27</v>
      </c>
      <c r="D12" s="2" t="s">
        <v>47</v>
      </c>
      <c r="E12" s="2" t="s">
        <v>48</v>
      </c>
      <c r="F12" s="2"/>
      <c r="G12" s="2">
        <v>4.0</v>
      </c>
      <c r="H12" s="6">
        <f>IF(G12&gt;=10, 0.218, 0.3)</f>
        <v>0.3</v>
      </c>
      <c r="I12" s="7">
        <f t="shared" si="1"/>
        <v>1.2</v>
      </c>
    </row>
    <row r="13">
      <c r="A13" s="2" t="s">
        <v>26</v>
      </c>
      <c r="B13" s="2" t="s">
        <v>49</v>
      </c>
      <c r="C13" s="2" t="s">
        <v>27</v>
      </c>
      <c r="D13" s="2" t="s">
        <v>50</v>
      </c>
      <c r="E13" s="2" t="s">
        <v>51</v>
      </c>
      <c r="F13" s="2"/>
      <c r="G13" s="2">
        <v>1.0</v>
      </c>
      <c r="H13" s="6">
        <f>IF(G13&gt;=10, 0.25, 0.26)</f>
        <v>0.26</v>
      </c>
      <c r="I13" s="7">
        <f t="shared" si="1"/>
        <v>0.26</v>
      </c>
    </row>
    <row r="14">
      <c r="A14" s="2" t="s">
        <v>26</v>
      </c>
      <c r="B14" s="2" t="s">
        <v>52</v>
      </c>
      <c r="C14" s="2" t="s">
        <v>27</v>
      </c>
      <c r="D14" s="2" t="s">
        <v>53</v>
      </c>
      <c r="E14" s="2" t="s">
        <v>54</v>
      </c>
      <c r="F14" s="2"/>
      <c r="G14" s="2">
        <v>2.0</v>
      </c>
      <c r="H14" s="6">
        <f>IF(G14&gt;=10, 0.372, 0.39)</f>
        <v>0.39</v>
      </c>
      <c r="I14" s="7">
        <f t="shared" si="1"/>
        <v>0.78</v>
      </c>
    </row>
    <row r="15">
      <c r="A15" s="2" t="s">
        <v>26</v>
      </c>
      <c r="B15" s="8">
        <v>1.6020103E7</v>
      </c>
      <c r="C15" s="2" t="s">
        <v>27</v>
      </c>
      <c r="D15" s="2" t="s">
        <v>55</v>
      </c>
      <c r="E15" s="2" t="s">
        <v>56</v>
      </c>
      <c r="F15" s="2" t="s">
        <v>57</v>
      </c>
      <c r="G15" s="2">
        <v>38.0</v>
      </c>
      <c r="H15" s="6">
        <f>IF(G15&gt;=25, 0.1416, IF(G15&gt;=10, 0.166, 0.18))</f>
        <v>0.1416</v>
      </c>
      <c r="I15" s="7">
        <f t="shared" si="1"/>
        <v>5.3808</v>
      </c>
    </row>
    <row r="16">
      <c r="A16" s="2" t="s">
        <v>10</v>
      </c>
      <c r="B16" s="8" t="s">
        <v>58</v>
      </c>
      <c r="C16" s="2" t="s">
        <v>27</v>
      </c>
      <c r="D16" s="2" t="s">
        <v>59</v>
      </c>
      <c r="E16" s="2" t="s">
        <v>60</v>
      </c>
      <c r="F16" s="2" t="s">
        <v>61</v>
      </c>
      <c r="G16" s="2">
        <v>1.0</v>
      </c>
      <c r="H16" s="6">
        <f>IF(G16&gt;=10, 1.238, 1.5)</f>
        <v>1.5</v>
      </c>
      <c r="I16" s="7">
        <f t="shared" si="1"/>
        <v>1.5</v>
      </c>
    </row>
    <row r="17">
      <c r="A17" s="2" t="s">
        <v>10</v>
      </c>
      <c r="B17" s="2" t="s">
        <v>62</v>
      </c>
      <c r="C17" s="2" t="s">
        <v>27</v>
      </c>
      <c r="D17" s="2" t="s">
        <v>63</v>
      </c>
      <c r="E17" s="2" t="s">
        <v>64</v>
      </c>
      <c r="F17" s="2" t="s">
        <v>65</v>
      </c>
      <c r="G17" s="2">
        <v>2.0</v>
      </c>
      <c r="H17" s="6">
        <f>IF(G17&gt;=10, 0.818, 0.98)</f>
        <v>0.98</v>
      </c>
      <c r="I17" s="7">
        <f t="shared" si="1"/>
        <v>1.96</v>
      </c>
    </row>
    <row r="18">
      <c r="A18" s="2" t="s">
        <v>66</v>
      </c>
      <c r="B18" s="8" t="s">
        <v>67</v>
      </c>
      <c r="C18" s="2" t="s">
        <v>27</v>
      </c>
      <c r="D18" s="2" t="s">
        <v>68</v>
      </c>
      <c r="E18" s="2" t="s">
        <v>69</v>
      </c>
      <c r="F18" s="9" t="s">
        <v>70</v>
      </c>
      <c r="G18" s="2">
        <v>1.0</v>
      </c>
      <c r="H18" s="6">
        <f>IF(G18&gt;=10, 5.236, 5.83)</f>
        <v>5.83</v>
      </c>
      <c r="I18" s="7">
        <f t="shared" si="1"/>
        <v>5.83</v>
      </c>
    </row>
    <row r="19">
      <c r="A19" s="2" t="s">
        <v>71</v>
      </c>
      <c r="B19" s="8" t="s">
        <v>72</v>
      </c>
      <c r="C19" s="2" t="s">
        <v>27</v>
      </c>
      <c r="D19" s="2" t="s">
        <v>73</v>
      </c>
      <c r="E19" s="2" t="s">
        <v>74</v>
      </c>
      <c r="F19" s="2" t="s">
        <v>75</v>
      </c>
      <c r="G19" s="2">
        <v>1.0</v>
      </c>
      <c r="H19" s="6">
        <v>1.1</v>
      </c>
      <c r="I19" s="7">
        <f t="shared" si="1"/>
        <v>1.1</v>
      </c>
    </row>
    <row r="20">
      <c r="A20" s="8" t="s">
        <v>76</v>
      </c>
      <c r="B20" s="8" t="s">
        <v>77</v>
      </c>
      <c r="C20" s="2" t="s">
        <v>27</v>
      </c>
      <c r="D20" s="2" t="s">
        <v>78</v>
      </c>
      <c r="E20" s="2" t="s">
        <v>79</v>
      </c>
      <c r="F20" s="2" t="s">
        <v>80</v>
      </c>
      <c r="G20" s="2">
        <v>1.0</v>
      </c>
      <c r="H20" s="6">
        <f>IF(G20&gt;=10, 0.885, 0.9)</f>
        <v>0.9</v>
      </c>
      <c r="I20" s="7">
        <f t="shared" si="1"/>
        <v>0.9</v>
      </c>
    </row>
    <row r="21">
      <c r="A21" s="2" t="s">
        <v>81</v>
      </c>
      <c r="B21" s="2">
        <v>5000.0</v>
      </c>
      <c r="C21" s="2" t="s">
        <v>12</v>
      </c>
      <c r="D21" s="2" t="str">
        <f t="shared" ref="D21:D25" si="2">CONCAT("534-", B21)</f>
        <v>534-5000</v>
      </c>
      <c r="E21" s="2" t="s">
        <v>82</v>
      </c>
      <c r="F21" s="2" t="s">
        <v>83</v>
      </c>
      <c r="G21" s="2">
        <v>12.0</v>
      </c>
      <c r="H21" s="6">
        <f>IF(G21&gt;=10, 0.299, 0.32)</f>
        <v>0.299</v>
      </c>
      <c r="I21" s="7">
        <f t="shared" si="1"/>
        <v>3.588</v>
      </c>
    </row>
    <row r="22">
      <c r="A22" s="2" t="s">
        <v>81</v>
      </c>
      <c r="B22" s="2">
        <v>5001.0</v>
      </c>
      <c r="C22" s="2" t="s">
        <v>12</v>
      </c>
      <c r="D22" s="2" t="str">
        <f t="shared" si="2"/>
        <v>534-5001</v>
      </c>
      <c r="E22" s="2" t="s">
        <v>82</v>
      </c>
      <c r="F22" s="2" t="s">
        <v>84</v>
      </c>
      <c r="G22" s="2">
        <v>18.0</v>
      </c>
      <c r="H22" s="6">
        <f t="shared" ref="H22:H23" si="3">IF(G22&gt;=10, 0.299, 0.33)</f>
        <v>0.299</v>
      </c>
      <c r="I22" s="7">
        <f t="shared" si="1"/>
        <v>5.382</v>
      </c>
    </row>
    <row r="23">
      <c r="A23" s="2" t="s">
        <v>81</v>
      </c>
      <c r="B23" s="2">
        <v>5002.0</v>
      </c>
      <c r="C23" s="2" t="s">
        <v>12</v>
      </c>
      <c r="D23" s="2" t="str">
        <f t="shared" si="2"/>
        <v>534-5002</v>
      </c>
      <c r="E23" s="2" t="s">
        <v>82</v>
      </c>
      <c r="F23" s="2" t="s">
        <v>85</v>
      </c>
      <c r="G23" s="2">
        <v>40.0</v>
      </c>
      <c r="H23" s="6">
        <f t="shared" si="3"/>
        <v>0.299</v>
      </c>
      <c r="I23" s="7">
        <f t="shared" si="1"/>
        <v>11.96</v>
      </c>
    </row>
    <row r="24">
      <c r="A24" s="2" t="s">
        <v>81</v>
      </c>
      <c r="B24" s="2">
        <v>5003.0</v>
      </c>
      <c r="C24" s="2" t="s">
        <v>12</v>
      </c>
      <c r="D24" s="2" t="str">
        <f t="shared" si="2"/>
        <v>534-5003</v>
      </c>
      <c r="E24" s="2" t="s">
        <v>82</v>
      </c>
      <c r="F24" s="2" t="s">
        <v>86</v>
      </c>
      <c r="G24" s="2">
        <v>10.0</v>
      </c>
      <c r="H24" s="6">
        <f t="shared" ref="H24:H25" si="4">IF(G24&gt;=10, 0.299, 0.32)</f>
        <v>0.299</v>
      </c>
      <c r="I24" s="7">
        <f t="shared" si="1"/>
        <v>2.99</v>
      </c>
    </row>
    <row r="25">
      <c r="A25" s="2" t="s">
        <v>81</v>
      </c>
      <c r="B25" s="2">
        <v>5004.0</v>
      </c>
      <c r="C25" s="2" t="s">
        <v>12</v>
      </c>
      <c r="D25" s="2" t="str">
        <f t="shared" si="2"/>
        <v>534-5004</v>
      </c>
      <c r="E25" s="2" t="s">
        <v>82</v>
      </c>
      <c r="F25" s="2" t="s">
        <v>87</v>
      </c>
      <c r="G25" s="2">
        <v>10.0</v>
      </c>
      <c r="H25" s="6">
        <f t="shared" si="4"/>
        <v>0.299</v>
      </c>
      <c r="I25" s="7">
        <f t="shared" si="1"/>
        <v>2.99</v>
      </c>
    </row>
    <row r="26">
      <c r="A26" s="2" t="s">
        <v>88</v>
      </c>
      <c r="B26" s="2">
        <v>13762.0</v>
      </c>
      <c r="C26" s="2" t="s">
        <v>88</v>
      </c>
      <c r="D26" s="2" t="s">
        <v>89</v>
      </c>
      <c r="E26" s="2" t="s">
        <v>90</v>
      </c>
      <c r="G26" s="2">
        <v>1.0</v>
      </c>
      <c r="H26" s="6">
        <v>14.95</v>
      </c>
      <c r="I26" s="7">
        <f t="shared" si="1"/>
        <v>14.95</v>
      </c>
    </row>
  </sheetData>
  <printOptions gridLines="1" horizontalCentered="1"/>
  <pageMargins bottom="0.75" footer="0.0" header="0.0" left="0.7" right="0.7" top="0.75"/>
  <pageSetup fitToHeight="0" cellComments="atEnd" orientation="landscape" pageOrder="overThenDown"/>
  <drawing r:id="rId2"/>
  <legacyDrawing r:id="rId3"/>
</worksheet>
</file>