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<sst xmlns="http://schemas.openxmlformats.org/spreadsheetml/2006/main" count="174" uniqueCount="120">
  <si>
    <t>Main Drone Components</t>
  </si>
  <si>
    <t>Things we need bought</t>
  </si>
  <si>
    <t>Item</t>
  </si>
  <si>
    <t>Quanitity</t>
  </si>
  <si>
    <t>Notes</t>
  </si>
  <si>
    <t>Manufacturer # (if applicable)</t>
  </si>
  <si>
    <t>Hyperlink</t>
  </si>
  <si>
    <t>Price</t>
  </si>
  <si>
    <t>DJI flamewheel 450 Drone kit</t>
  </si>
  <si>
    <t>Can be swapped with any drone kit. F450 is discontinued, but you can purchase it from amazon</t>
  </si>
  <si>
    <t>USB Adapter</t>
  </si>
  <si>
    <t>Need usb c adapter to allow us to use Mac computers</t>
  </si>
  <si>
    <t>Shield Board</t>
  </si>
  <si>
    <t>I Don't know where schematics are for this ask James</t>
  </si>
  <si>
    <t>Zybo Z7</t>
  </si>
  <si>
    <t>Need a backup in case one of them has issues</t>
  </si>
  <si>
    <t>471-015</t>
  </si>
  <si>
    <t>Need to change header pins to fit shield board</t>
  </si>
  <si>
    <t>3 Cell Lipo Battery</t>
  </si>
  <si>
    <t>2`</t>
  </si>
  <si>
    <t>Need some as backup in case they die</t>
  </si>
  <si>
    <t>3 Cell LiPo Batteries</t>
  </si>
  <si>
    <t>Should be bought in bulk to conserve Price</t>
  </si>
  <si>
    <t>Lidar Lite V3 Garmin</t>
  </si>
  <si>
    <t>010-01722-00</t>
  </si>
  <si>
    <t>Optional Items</t>
  </si>
  <si>
    <t>MicroUSB cables</t>
  </si>
  <si>
    <t>The link contains 5 cables</t>
  </si>
  <si>
    <t>USB charging hub</t>
  </si>
  <si>
    <t>This is to charge multiple CF at once</t>
  </si>
  <si>
    <t>Shield Board Components</t>
  </si>
  <si>
    <t>Manufacturer</t>
  </si>
  <si>
    <t>Mfr. Part #</t>
  </si>
  <si>
    <t>Vendor</t>
  </si>
  <si>
    <t>Vendor Part #</t>
  </si>
  <si>
    <t>Usage</t>
  </si>
  <si>
    <t>Quantity</t>
  </si>
  <si>
    <t>Unit Cost</t>
  </si>
  <si>
    <t>Total</t>
  </si>
  <si>
    <t>Samtec</t>
  </si>
  <si>
    <t>ESQ-106-12-L-D</t>
  </si>
  <si>
    <t>Mouser</t>
  </si>
  <si>
    <t>200-ESQ10612LD</t>
  </si>
  <si>
    <t>Zybo Vertical PMOD Connectors</t>
  </si>
  <si>
    <t>11.05 mm Stack Height
8.51 mm Insulation Height
~6 mm Mating Length
Short Posts</t>
  </si>
  <si>
    <t>ESQ-106-13-L-D</t>
  </si>
  <si>
    <t>200-ESQ10613LD</t>
  </si>
  <si>
    <t>Zybo PMOD Stackers (6)
Shield PMOD Connectors (6)</t>
  </si>
  <si>
    <t>11.05 mm Stack Height
8.51 mm Insulation Height
~6 mm Mating Length
Long Posts</t>
  </si>
  <si>
    <t>ESQ-102-12-L-D</t>
  </si>
  <si>
    <t>200-ESQ10212LD</t>
  </si>
  <si>
    <t>Zybo Power Input Connector</t>
  </si>
  <si>
    <t>ESQ-102-13-L-D</t>
  </si>
  <si>
    <t>200-ESQ10213LD</t>
  </si>
  <si>
    <t>Zybo Power Stacker
Shield Power Output Connector</t>
  </si>
  <si>
    <t>Molex</t>
  </si>
  <si>
    <t>Digikey</t>
  </si>
  <si>
    <t>WM4900-ND</t>
  </si>
  <si>
    <t>Battery Power In
RC Power Out
UART1 Test/Expansion</t>
  </si>
  <si>
    <t>90° Locking Shroud
2-pin
Mates With Molex LLC 50-57-9402</t>
  </si>
  <si>
    <t>WM4902-ND</t>
  </si>
  <si>
    <t>Optical Flow Connector</t>
  </si>
  <si>
    <t>90° Locking Shroud
4-pin
Mates With Molex LLC 50-57-9404</t>
  </si>
  <si>
    <t>WM4904-ND</t>
  </si>
  <si>
    <t>LiDAR Connector
RC PWM Connector</t>
  </si>
  <si>
    <t>90° Locking Shroud
6-pin
Mates With Molex LLC 50-57-9406</t>
  </si>
  <si>
    <t>WM4800-ND</t>
  </si>
  <si>
    <t>I2C Test/Expansion</t>
  </si>
  <si>
    <t>Vertical Locking Shroud
2-pin
Mates With Molex LLC 50-57-9402</t>
  </si>
  <si>
    <t>WM4801-ND</t>
  </si>
  <si>
    <t>ESC Connector</t>
  </si>
  <si>
    <t>Vertical Locking Shroud
3-pin
Mates With Molex LLC 50-57-9403</t>
  </si>
  <si>
    <t>50-57-9402</t>
  </si>
  <si>
    <t>WM2900-ND</t>
  </si>
  <si>
    <t>Cable end for 2-pin locking conn</t>
  </si>
  <si>
    <t>50-57-9403</t>
  </si>
  <si>
    <t>WM2901-ND</t>
  </si>
  <si>
    <t>Cable end for 3-pin locking conn</t>
  </si>
  <si>
    <t>50-57-9404</t>
  </si>
  <si>
    <t>WM2902-ND</t>
  </si>
  <si>
    <t>Cable end for 4-pin locking conn</t>
  </si>
  <si>
    <t>50-57-9406</t>
  </si>
  <si>
    <t>WM2904-ND</t>
  </si>
  <si>
    <t>Cable end for 6-pin locking conn</t>
  </si>
  <si>
    <t>WM2512-ND</t>
  </si>
  <si>
    <t>Connector Receptacle</t>
  </si>
  <si>
    <t>Crimp</t>
  </si>
  <si>
    <t>SSW-104-01-G-D</t>
  </si>
  <si>
    <t>SAM10019-ND</t>
  </si>
  <si>
    <t>WiFi Board Connector</t>
  </si>
  <si>
    <t>Vertical 2x4 0.1" Socket
8.51 mm insulation height
~6 mm mating length
Short Posts</t>
  </si>
  <si>
    <t>SSW-104-01-G-S</t>
  </si>
  <si>
    <t>SAM11932-ND</t>
  </si>
  <si>
    <t>IMU Sockets</t>
  </si>
  <si>
    <t>Vertical 1x4 0.1" Socket
8.51 mm insulation height
~6 mm mating length
Short Posts</t>
  </si>
  <si>
    <t>Texas Instruments</t>
  </si>
  <si>
    <t>LM2678T-5.0/NOPB</t>
  </si>
  <si>
    <t>LM2678T-5.0/NOPB-ND</t>
  </si>
  <si>
    <t>5V Switching Voltage Regulator</t>
  </si>
  <si>
    <t>Vout = 5V, Vin = 8V to 40V
Switching freq. = 260 kHz
Max output current = 5A</t>
  </si>
  <si>
    <t>STMicroelectronics</t>
  </si>
  <si>
    <t>STPS1045D</t>
  </si>
  <si>
    <t>497-2754-5-ND</t>
  </si>
  <si>
    <t>Schottky Diode</t>
  </si>
  <si>
    <t>10A
0.84V Forward Voltage</t>
  </si>
  <si>
    <t>Murata Power Solutions Inc.</t>
  </si>
  <si>
    <t>12RS223C</t>
  </si>
  <si>
    <t>811-2100-ND</t>
  </si>
  <si>
    <t>Inductor</t>
  </si>
  <si>
    <t>22 uH</t>
  </si>
  <si>
    <t>Keystone Electronics</t>
  </si>
  <si>
    <t>Test Point</t>
  </si>
  <si>
    <t>Color: Red</t>
  </si>
  <si>
    <t>Color: Black</t>
  </si>
  <si>
    <t>Color: White</t>
  </si>
  <si>
    <t>Color: Orange</t>
  </si>
  <si>
    <t>Color: Yellow</t>
  </si>
  <si>
    <t>Sparkfun</t>
  </si>
  <si>
    <t>MPU-9250 Breakout</t>
  </si>
  <si>
    <t>IMU Board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</si>
</sst>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&quot;$&quot;#,##0.00"/>
  </numFmts>
  <fonts count="10">
    <font>
      <sz val="10.0"/>
      <color rgb="FF000000"/>
      <name val="Arial"/>
    </font>
    <font>
      <sz val="24.0"/>
      <color theme="1"/>
      <name val="Arial"/>
    </font>
    <font/>
    <font>
      <color theme="1"/>
      <name val="Arial"/>
    </font>
    <font>
      <u/>
      <color rgb="FF0000FF"/>
    </font>
    <font>
      <u/>
      <color rgb="FF0000FF"/>
    </font>
    <font>
      <u/>
      <color rgb="FF0000FF"/>
    </font>
    <font>
      <b/>
      <color theme="1"/>
      <name val="Arial"/>
    </font>
    <font>
      <u/>
      <color rgb="FF0000FF"/>
    </font>
    <font>
      <color rgb="FF000000"/>
      <name val="Arial"/>
    </font>
  </fonts>
  <fills count="6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A4C2F4"/>
        <bgColor rgb="FFA4C2F4"/>
      </patternFill>
    </fill>
    <fill>
      <patternFill patternType="solid">
        <fgColor rgb="FFB6D7A8"/>
        <bgColor rgb="FFB6D7A8"/>
      </patternFill>
    </fill>
    <fill>
      <patternFill patternType="solid">
        <fgColor rgb="FFE06666"/>
        <bgColor rgb="FFE06666"/>
      </patternFill>
    </fill>
  </fills>
  <borders count="10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42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readingOrder="0"/>
    </xf>
    <xf borderId="1" fillId="3" fontId="1" numFmtId="0" xfId="0" applyAlignment="1" applyBorder="1" applyFill="1" applyFont="1">
      <alignment readingOrder="0"/>
    </xf>
    <xf borderId="2" fillId="0" fontId="2" numFmtId="0" xfId="0" applyBorder="1" applyFont="1"/>
    <xf borderId="3" fillId="0" fontId="2" numFmtId="0" xfId="0" applyBorder="1" applyFont="1"/>
    <xf borderId="0" fillId="2" fontId="3" numFmtId="0" xfId="0" applyFont="1"/>
    <xf borderId="1" fillId="4" fontId="1" numFmtId="0" xfId="0" applyAlignment="1" applyBorder="1" applyFill="1" applyFont="1">
      <alignment readingOrder="0"/>
    </xf>
    <xf borderId="4" fillId="0" fontId="2" numFmtId="0" xfId="0" applyBorder="1" applyFont="1"/>
    <xf borderId="5" fillId="0" fontId="2" numFmtId="0" xfId="0" applyBorder="1" applyFont="1"/>
    <xf borderId="6" fillId="0" fontId="2" numFmtId="0" xfId="0" applyBorder="1" applyFont="1"/>
    <xf borderId="7" fillId="3" fontId="3" numFmtId="0" xfId="0" applyAlignment="1" applyBorder="1" applyFont="1">
      <alignment readingOrder="0"/>
    </xf>
    <xf borderId="8" fillId="3" fontId="3" numFmtId="0" xfId="0" applyAlignment="1" applyBorder="1" applyFont="1">
      <alignment readingOrder="0"/>
    </xf>
    <xf borderId="0" fillId="2" fontId="3" numFmtId="0" xfId="0" applyAlignment="1" applyFont="1">
      <alignment readingOrder="0"/>
    </xf>
    <xf borderId="7" fillId="4" fontId="3" numFmtId="0" xfId="0" applyAlignment="1" applyBorder="1" applyFont="1">
      <alignment readingOrder="0"/>
    </xf>
    <xf borderId="7" fillId="3" fontId="3" numFmtId="0" xfId="0" applyAlignment="1" applyBorder="1" applyFont="1">
      <alignment readingOrder="0" shrinkToFit="0" wrapText="1"/>
    </xf>
    <xf borderId="7" fillId="3" fontId="3" numFmtId="0" xfId="0" applyAlignment="1" applyBorder="1" applyFont="1">
      <alignment readingOrder="0" shrinkToFit="0" wrapText="1"/>
    </xf>
    <xf borderId="7" fillId="3" fontId="3" numFmtId="0" xfId="0" applyAlignment="1" applyBorder="1" applyFont="1">
      <alignment shrinkToFit="0" wrapText="1"/>
    </xf>
    <xf borderId="8" fillId="3" fontId="4" numFmtId="0" xfId="0" applyAlignment="1" applyBorder="1" applyFont="1">
      <alignment shrinkToFit="0" wrapText="1"/>
    </xf>
    <xf borderId="7" fillId="4" fontId="3" numFmtId="0" xfId="0" applyAlignment="1" applyBorder="1" applyFont="1">
      <alignment readingOrder="0" shrinkToFit="0" wrapText="1"/>
    </xf>
    <xf borderId="7" fillId="4" fontId="3" numFmtId="0" xfId="0" applyAlignment="1" applyBorder="1" applyFont="1">
      <alignment shrinkToFit="0" wrapText="1"/>
    </xf>
    <xf borderId="7" fillId="4" fontId="3" numFmtId="0" xfId="0" applyAlignment="1" applyBorder="1" applyFont="1">
      <alignment readingOrder="0" shrinkToFit="0" wrapText="1"/>
    </xf>
    <xf borderId="7" fillId="4" fontId="5" numFmtId="0" xfId="0" applyAlignment="1" applyBorder="1" applyFont="1">
      <alignment shrinkToFit="0" wrapText="1"/>
    </xf>
    <xf borderId="0" fillId="0" fontId="3" numFmtId="0" xfId="0" applyAlignment="1" applyFont="1">
      <alignment shrinkToFit="0" wrapText="1"/>
    </xf>
    <xf borderId="7" fillId="3" fontId="3" numFmtId="0" xfId="0" applyAlignment="1" applyBorder="1" applyFont="1">
      <alignment shrinkToFit="0" wrapText="1"/>
    </xf>
    <xf borderId="8" fillId="3" fontId="3" numFmtId="0" xfId="0" applyAlignment="1" applyBorder="1" applyFont="1">
      <alignment readingOrder="0" shrinkToFit="0" wrapText="1"/>
    </xf>
    <xf borderId="8" fillId="4" fontId="3" numFmtId="0" xfId="0" applyAlignment="1" applyBorder="1" applyFont="1">
      <alignment readingOrder="0" shrinkToFit="0" wrapText="1"/>
    </xf>
    <xf borderId="8" fillId="4" fontId="6" numFmtId="0" xfId="0" applyAlignment="1" applyBorder="1" applyFont="1">
      <alignment shrinkToFit="0" wrapText="1"/>
    </xf>
    <xf borderId="7" fillId="4" fontId="7" numFmtId="0" xfId="0" applyAlignment="1" applyBorder="1" applyFont="1">
      <alignment readingOrder="0" shrinkToFit="0" wrapText="1"/>
    </xf>
    <xf borderId="8" fillId="3" fontId="3" numFmtId="0" xfId="0" applyAlignment="1" applyBorder="1" applyFont="1">
      <alignment shrinkToFit="0" wrapText="1"/>
    </xf>
    <xf borderId="7" fillId="4" fontId="8" numFmtId="0" xfId="0" applyAlignment="1" applyBorder="1" applyFont="1">
      <alignment readingOrder="0" shrinkToFit="0" wrapText="1"/>
    </xf>
    <xf borderId="0" fillId="0" fontId="3" numFmtId="0" xfId="0" applyAlignment="1" applyFont="1">
      <alignment readingOrder="0"/>
    </xf>
    <xf borderId="0" fillId="2" fontId="9" numFmtId="0" xfId="0" applyAlignment="1" applyFont="1">
      <alignment readingOrder="0"/>
    </xf>
    <xf borderId="7" fillId="4" fontId="9" numFmtId="0" xfId="0" applyAlignment="1" applyBorder="1" applyFont="1">
      <alignment readingOrder="0" shrinkToFit="0" wrapText="1"/>
    </xf>
    <xf borderId="7" fillId="4" fontId="3" numFmtId="0" xfId="0" applyBorder="1" applyFont="1"/>
    <xf borderId="1" fillId="5" fontId="1" numFmtId="0" xfId="0" applyAlignment="1" applyBorder="1" applyFill="1" applyFont="1">
      <alignment horizontal="center" readingOrder="0" shrinkToFit="0" wrapText="1"/>
    </xf>
    <xf borderId="0" fillId="2" fontId="3" numFmtId="0" xfId="0" applyAlignment="1" applyFont="1">
      <alignment shrinkToFit="0" wrapText="1"/>
    </xf>
    <xf borderId="7" fillId="5" fontId="7" numFmtId="0" xfId="0" applyAlignment="1" applyBorder="1" applyFont="1">
      <alignment shrinkToFit="0" vertical="bottom" wrapText="1"/>
    </xf>
    <xf borderId="9" fillId="5" fontId="7" numFmtId="0" xfId="0" applyAlignment="1" applyBorder="1" applyFont="1">
      <alignment shrinkToFit="0" vertical="bottom" wrapText="1"/>
    </xf>
    <xf borderId="7" fillId="5" fontId="3" numFmtId="0" xfId="0" applyAlignment="1" applyBorder="1" applyFont="1">
      <alignment shrinkToFit="0" vertical="bottom" wrapText="1"/>
    </xf>
    <xf borderId="7" fillId="5" fontId="3" numFmtId="0" xfId="0" applyAlignment="1" applyBorder="1" applyFont="1">
      <alignment horizontal="right" shrinkToFit="0" vertical="bottom" wrapText="1"/>
    </xf>
    <xf borderId="7" fillId="5" fontId="3" numFmtId="164" xfId="0" applyAlignment="1" applyBorder="1" applyFont="1" applyNumberFormat="1">
      <alignment horizontal="right" shrinkToFit="0" vertical="bottom" wrapText="1"/>
    </xf>
    <xf borderId="7" fillId="5" fontId="3" numFmtId="164" xfId="0" applyAlignment="1" applyBorder="1" applyFont="1" applyNumberFormat="1">
      <alignment horizontal="right" shrinkToFit="0" vertical="bottom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3" max="3" width="28.57"/>
    <col customWidth="1" min="5" max="5" width="31.57"/>
    <col customWidth="1" min="6" max="7" width="31.86"/>
    <col customWidth="1" min="8" max="8" width="25.57"/>
    <col customWidth="1" min="12" max="12" width="28.0"/>
  </cols>
  <sheetData>
    <row r="1">
      <c r="C1" s="1"/>
      <c r="D1" s="1"/>
      <c r="E1" s="1"/>
      <c r="F1" s="1"/>
      <c r="G1" s="1"/>
    </row>
    <row r="2">
      <c r="C2" s="2" t="s">
        <v>0</v>
      </c>
      <c r="D2" s="3"/>
      <c r="E2" s="3"/>
      <c r="F2" s="3"/>
      <c r="G2" s="4"/>
      <c r="H2" s="5"/>
      <c r="I2" s="6" t="s">
        <v>1</v>
      </c>
      <c r="J2" s="3"/>
      <c r="K2" s="3"/>
      <c r="L2" s="3"/>
      <c r="M2" s="3"/>
      <c r="N2" s="4"/>
    </row>
    <row r="3">
      <c r="C3" s="7"/>
      <c r="D3" s="8"/>
      <c r="E3" s="8"/>
      <c r="F3" s="8"/>
      <c r="G3" s="9"/>
      <c r="H3" s="5"/>
      <c r="I3" s="7"/>
      <c r="J3" s="8"/>
      <c r="K3" s="8"/>
      <c r="L3" s="8"/>
      <c r="M3" s="8"/>
      <c r="N3" s="9"/>
    </row>
    <row r="4">
      <c r="C4" s="10" t="s">
        <v>2</v>
      </c>
      <c r="D4" s="10" t="s">
        <v>3</v>
      </c>
      <c r="E4" s="10" t="s">
        <v>4</v>
      </c>
      <c r="F4" s="10" t="s">
        <v>5</v>
      </c>
      <c r="G4" s="11" t="s">
        <v>6</v>
      </c>
      <c r="H4" s="12"/>
      <c r="I4" s="13" t="s">
        <v>2</v>
      </c>
      <c r="J4" s="13" t="s">
        <v>3</v>
      </c>
      <c r="K4" s="13" t="s">
        <v>4</v>
      </c>
      <c r="L4" s="13" t="s">
        <v>5</v>
      </c>
      <c r="M4" s="13" t="s">
        <v>7</v>
      </c>
      <c r="N4" s="13" t="s">
        <v>6</v>
      </c>
    </row>
    <row r="5" ht="39.75" customHeight="1">
      <c r="C5" s="14" t="s">
        <v>8</v>
      </c>
      <c r="D5" s="14">
        <v>1.0</v>
      </c>
      <c r="E5" s="15" t="s">
        <v>9</v>
      </c>
      <c r="F5" s="16"/>
      <c r="G5" s="17" t="str">
        <f>HYPERLINK("https://www.amazon.com/DJI-Flame-Wheel-F450-ARF/dp/B00G4A2RBU/ref=sr_1_2?gclid=CjwKCAjw5_DsBRBPEiwAIEDRW9NW8J3oGlZpQ3QzPOrtU3QQO2vHyC_Y2UCbbH1355NAnAPQPhYp6BoCXNgQAvD_BwE&amp;hvadid=174288029944&amp;hvdev=c&amp;hvlocphy=1015640&amp;hvnetw=g&amp;hvpos=1t2&amp;hvqmt=b&amp;hvrand=15427"&amp;"068393536500276&amp;hvtargid=aud-649564993678%3Akwd-46430879937&amp;hydadcr=4097_9338733&amp;keywords=dji+flamewheel+f450&amp;qid=1570554959&amp;sr=8-2","f450")</f>
        <v>f450</v>
      </c>
      <c r="H5" s="5"/>
      <c r="I5" s="18" t="s">
        <v>10</v>
      </c>
      <c r="J5" s="18">
        <v>1.0</v>
      </c>
      <c r="K5" s="18" t="s">
        <v>11</v>
      </c>
      <c r="L5" s="19"/>
      <c r="M5" s="20">
        <v>17.99</v>
      </c>
      <c r="N5" s="21" t="str">
        <f>HYPERLINK("https://www.amazon.com/Qidoou-Multiport-Converter-Compatible-Chromebook/dp/B07KMC3DTL/ref=sr_1_15?keywords=adapter+usb+c&amp;qid=1570997467&amp;sr=8-15","USB Addapter")</f>
        <v>USB Addapter</v>
      </c>
      <c r="O5" s="22"/>
      <c r="P5" s="22"/>
      <c r="Q5" s="22"/>
    </row>
    <row r="6">
      <c r="C6" s="14" t="s">
        <v>12</v>
      </c>
      <c r="D6" s="23"/>
      <c r="E6" s="14" t="s">
        <v>13</v>
      </c>
      <c r="F6" s="14"/>
      <c r="G6" s="24"/>
      <c r="H6" s="5"/>
      <c r="I6" s="18" t="s">
        <v>14</v>
      </c>
      <c r="J6" s="18">
        <v>1.0</v>
      </c>
      <c r="K6" s="18" t="s">
        <v>15</v>
      </c>
      <c r="L6" s="20" t="s">
        <v>16</v>
      </c>
      <c r="M6" s="25">
        <v>299.19</v>
      </c>
      <c r="N6" s="26" t="str">
        <f>HYPERLINK("https://www.mouser.com/new/digilent/digilent-zybo-z7-zynq-7000-soc/?gclid=CjwKCAjw5_DsBRBPEiwAIEDRWza__DWP7n6smt7OZKvJkWetMpVolfdDySddRtc8ihO2DUeHAqyQihoC2iMQAvD_BwE","Zybo Z7")</f>
        <v>Zybo Z7</v>
      </c>
      <c r="O6" s="22"/>
      <c r="P6" s="22"/>
      <c r="Q6" s="22"/>
    </row>
    <row r="7">
      <c r="C7" s="14" t="s">
        <v>14</v>
      </c>
      <c r="D7" s="14">
        <v>1.0</v>
      </c>
      <c r="E7" s="14" t="s">
        <v>17</v>
      </c>
      <c r="F7" s="16"/>
      <c r="G7" s="17" t="str">
        <f>HYPERLINK("https://www.mouser.com/new/digilent/digilent-zybo-z7-zynq-7000-soc/?gclid=CjwKCAjw5_DsBRBPEiwAIEDRWza__DWP7n6smt7OZKvJkWetMpVolfdDySddRtc8ihO2DUeHAqyQihoC2iMQAvD_BwE","Zybo Z7")</f>
        <v>Zybo Z7</v>
      </c>
      <c r="H7" s="5"/>
      <c r="I7" s="18" t="s">
        <v>18</v>
      </c>
      <c r="J7" s="18" t="s">
        <v>19</v>
      </c>
      <c r="K7" s="18" t="s">
        <v>20</v>
      </c>
      <c r="L7" s="19"/>
      <c r="M7" s="25">
        <v>22.26</v>
      </c>
      <c r="N7" s="26" t="str">
        <f>HYPERLINK("https://hobbyking.com/en_us/turnigy-nano-tech-2200mah-3s-45-90c-lipo-pack.html?countrycode=US&amp;gclid=CjwKCAjwlovtBRBrEiwAG3XJ-8GMluw2Kb7-4olLvrJUo9H-qpXrMISpApX9PeQtAv78TKAPk-SMPRoC-msQAvD_BwE&amp;gclsrc=aw.ds","3 Cell LiPo")</f>
        <v>3 Cell LiPo</v>
      </c>
      <c r="O7" s="22"/>
      <c r="P7" s="22"/>
      <c r="Q7" s="22"/>
    </row>
    <row r="8">
      <c r="C8" s="14" t="s">
        <v>21</v>
      </c>
      <c r="D8" s="14">
        <v>2.0</v>
      </c>
      <c r="E8" s="14" t="s">
        <v>22</v>
      </c>
      <c r="F8" s="23"/>
      <c r="G8" s="17" t="str">
        <f>HYPERLINK("https://hobbyking.com/en_us/turnigy-nano-tech-2200mah-3s-45-90c-lipo-pack.html?countrycode=US&amp;gclid=CjwKCAjwlovtBRBrEiwAG3XJ-8GMluw2Kb7-4olLvrJUo9H-qpXrMISpApX9PeQtAv78TKAPk-SMPRoC-msQAvD_BwE&amp;gclsrc=aw.ds","3 Cell LiPo")</f>
        <v>3 Cell LiPo</v>
      </c>
      <c r="H8" s="5"/>
      <c r="I8" s="19"/>
      <c r="J8" s="19"/>
      <c r="K8" s="19"/>
      <c r="L8" s="19"/>
      <c r="M8" s="19"/>
      <c r="N8" s="19"/>
      <c r="O8" s="22"/>
      <c r="P8" s="22"/>
      <c r="Q8" s="22"/>
    </row>
    <row r="9">
      <c r="C9" s="14" t="s">
        <v>23</v>
      </c>
      <c r="D9" s="14">
        <v>1.0</v>
      </c>
      <c r="E9" s="23"/>
      <c r="F9" s="14" t="s">
        <v>24</v>
      </c>
      <c r="G9" s="17" t="str">
        <f>HYPERLINK("https://buy.garmin.com/en-US/US/p/557294#overview","Lidar")</f>
        <v>Lidar</v>
      </c>
      <c r="H9" s="5"/>
      <c r="I9" s="27" t="s">
        <v>25</v>
      </c>
      <c r="J9" s="19"/>
      <c r="K9" s="19"/>
      <c r="L9" s="19"/>
      <c r="M9" s="19"/>
      <c r="N9" s="19"/>
      <c r="O9" s="22"/>
      <c r="P9" s="22"/>
      <c r="Q9" s="22"/>
    </row>
    <row r="10">
      <c r="C10" s="14"/>
      <c r="D10" s="14"/>
      <c r="E10" s="23"/>
      <c r="F10" s="23"/>
      <c r="G10" s="28"/>
      <c r="H10" s="5"/>
      <c r="I10" s="18" t="s">
        <v>26</v>
      </c>
      <c r="J10" s="18">
        <v>1.0</v>
      </c>
      <c r="K10" s="18" t="s">
        <v>27</v>
      </c>
      <c r="L10" s="19"/>
      <c r="M10" s="18">
        <v>8.99</v>
      </c>
      <c r="N10" s="29" t="str">
        <f>HYPERLINK("https://www.amazon.com/Micro-USB-Cable-Android-SMALLElectric/dp/B01N9P860N/ref=sr_1_8?keywords=micro+usb+cables&amp;qid=1571001852&amp;sr=8-8","Amazon Cables")</f>
        <v>Amazon Cables</v>
      </c>
      <c r="O10" s="22"/>
      <c r="P10" s="22"/>
      <c r="Q10" s="22"/>
    </row>
    <row r="11">
      <c r="C11" s="23"/>
      <c r="D11" s="23"/>
      <c r="E11" s="23"/>
      <c r="F11" s="23"/>
      <c r="G11" s="28"/>
      <c r="H11" s="5"/>
      <c r="I11" s="18" t="s">
        <v>28</v>
      </c>
      <c r="J11" s="18">
        <v>1.0</v>
      </c>
      <c r="K11" s="18" t="s">
        <v>29</v>
      </c>
      <c r="L11" s="19"/>
      <c r="M11" s="18">
        <v>9.99</v>
      </c>
      <c r="N11" s="29" t="str">
        <f>HYPERLINK("https://www.amazon.com/Charger-Desktop-Charging-Adapter-Extension/dp/B01L6XWSFO/ref=asc_df_B01L6XWSFO/?tag=hyprod-20&amp;linkCode=df0&amp;hvadid=198075247191&amp;hvpos=1o1&amp;hvnetw=g&amp;hvrand=13917832934617061622&amp;hvpone=&amp;hvptwo=&amp;hvqmt=&amp;hvdev=c&amp;hvdvcmdl=&amp;hvlocint=&amp;hvlocph"&amp;"y=&amp;hvtargid=aud-829758849484:pla-350485840073&amp;psc=1","Charging Hub")</f>
        <v>Charging Hub</v>
      </c>
      <c r="O11" s="22"/>
      <c r="P11" s="22"/>
      <c r="Q11" s="22"/>
    </row>
    <row r="12">
      <c r="C12" s="23"/>
      <c r="D12" s="23"/>
      <c r="E12" s="23"/>
      <c r="F12" s="23"/>
      <c r="G12" s="28"/>
      <c r="H12" s="5"/>
      <c r="I12" s="19"/>
      <c r="J12" s="19"/>
      <c r="K12" s="19"/>
      <c r="L12" s="19"/>
      <c r="M12" s="19"/>
      <c r="N12" s="19"/>
      <c r="O12" s="22"/>
      <c r="P12" s="22"/>
      <c r="Q12" s="30"/>
    </row>
    <row r="13">
      <c r="C13" s="23"/>
      <c r="D13" s="23"/>
      <c r="E13" s="23"/>
      <c r="F13" s="23"/>
      <c r="G13" s="28"/>
      <c r="H13" s="5"/>
      <c r="I13" s="19"/>
      <c r="J13" s="19"/>
      <c r="K13" s="19"/>
      <c r="L13" s="19"/>
      <c r="M13" s="19"/>
      <c r="N13" s="19"/>
      <c r="O13" s="22"/>
      <c r="P13" s="22"/>
      <c r="Q13" s="22"/>
    </row>
    <row r="14">
      <c r="C14" s="23"/>
      <c r="D14" s="23"/>
      <c r="E14" s="23"/>
      <c r="F14" s="23"/>
      <c r="G14" s="28"/>
      <c r="H14" s="5"/>
      <c r="I14" s="19"/>
      <c r="J14" s="19"/>
      <c r="K14" s="19"/>
      <c r="L14" s="19"/>
      <c r="M14" s="19"/>
      <c r="N14" s="19"/>
      <c r="O14" s="22"/>
      <c r="P14" s="22"/>
      <c r="Q14" s="22"/>
    </row>
    <row r="15">
      <c r="C15" s="23"/>
      <c r="D15" s="23"/>
      <c r="E15" s="23"/>
      <c r="F15" s="23"/>
      <c r="G15" s="28"/>
      <c r="H15" s="31"/>
      <c r="I15" s="32"/>
      <c r="J15" s="19"/>
      <c r="K15" s="19"/>
      <c r="L15" s="19"/>
      <c r="M15" s="19"/>
      <c r="N15" s="19"/>
      <c r="O15" s="22"/>
      <c r="P15" s="22"/>
      <c r="Q15" s="22"/>
    </row>
    <row r="16">
      <c r="C16" s="23"/>
      <c r="D16" s="23"/>
      <c r="E16" s="23"/>
      <c r="F16" s="23"/>
      <c r="G16" s="28"/>
      <c r="H16" s="5"/>
      <c r="I16" s="33"/>
      <c r="J16" s="33"/>
      <c r="K16" s="33"/>
      <c r="L16" s="33"/>
      <c r="M16" s="33"/>
      <c r="N16" s="33"/>
    </row>
    <row r="17">
      <c r="C17" s="34" t="s">
        <v>30</v>
      </c>
      <c r="D17" s="3"/>
      <c r="E17" s="3"/>
      <c r="F17" s="3"/>
      <c r="G17" s="4"/>
      <c r="H17" s="35"/>
      <c r="I17" s="35"/>
      <c r="J17" s="35"/>
      <c r="K17" s="35"/>
    </row>
    <row r="18">
      <c r="C18" s="7"/>
      <c r="D18" s="8"/>
      <c r="E18" s="8"/>
      <c r="F18" s="8"/>
      <c r="G18" s="9"/>
      <c r="H18" s="35"/>
      <c r="I18" s="35"/>
      <c r="J18" s="35"/>
      <c r="K18" s="35"/>
    </row>
    <row r="19">
      <c r="C19" s="36" t="s">
        <v>31</v>
      </c>
      <c r="D19" s="36" t="s">
        <v>32</v>
      </c>
      <c r="E19" s="36" t="s">
        <v>33</v>
      </c>
      <c r="F19" s="36" t="s">
        <v>34</v>
      </c>
      <c r="G19" s="36" t="s">
        <v>35</v>
      </c>
      <c r="H19" s="37" t="s">
        <v>4</v>
      </c>
      <c r="I19" s="37" t="s">
        <v>36</v>
      </c>
      <c r="J19" s="37" t="s">
        <v>37</v>
      </c>
      <c r="K19" s="37" t="s">
        <v>38</v>
      </c>
    </row>
    <row r="20">
      <c r="C20" s="38" t="s">
        <v>39</v>
      </c>
      <c r="D20" s="38" t="s">
        <v>40</v>
      </c>
      <c r="E20" s="38" t="s">
        <v>41</v>
      </c>
      <c r="F20" s="38" t="s">
        <v>42</v>
      </c>
      <c r="G20" s="38" t="s">
        <v>43</v>
      </c>
      <c r="H20" s="38" t="s">
        <v>44</v>
      </c>
      <c r="I20" s="39">
        <v>6.0</v>
      </c>
      <c r="J20" s="40">
        <v>2.24</v>
      </c>
      <c r="K20" s="40">
        <f t="shared" ref="K20:K44" si="1">J20*I20</f>
        <v>13.44</v>
      </c>
    </row>
    <row r="21">
      <c r="C21" s="38" t="s">
        <v>39</v>
      </c>
      <c r="D21" s="38" t="s">
        <v>45</v>
      </c>
      <c r="E21" s="38" t="s">
        <v>41</v>
      </c>
      <c r="F21" s="38" t="s">
        <v>46</v>
      </c>
      <c r="G21" s="38" t="s">
        <v>47</v>
      </c>
      <c r="H21" s="38" t="s">
        <v>48</v>
      </c>
      <c r="I21" s="39">
        <v>12.0</v>
      </c>
      <c r="J21" s="41">
        <f>IF(I21&gt;=10, 1.97, 2.39)</f>
        <v>1.97</v>
      </c>
      <c r="K21" s="41">
        <f t="shared" si="1"/>
        <v>23.64</v>
      </c>
    </row>
    <row r="22">
      <c r="C22" s="38" t="s">
        <v>39</v>
      </c>
      <c r="D22" s="38" t="s">
        <v>49</v>
      </c>
      <c r="E22" s="38" t="s">
        <v>41</v>
      </c>
      <c r="F22" s="38" t="s">
        <v>50</v>
      </c>
      <c r="G22" s="38" t="s">
        <v>51</v>
      </c>
      <c r="H22" s="38" t="s">
        <v>44</v>
      </c>
      <c r="I22" s="39">
        <v>1.0</v>
      </c>
      <c r="J22" s="41">
        <f>IF(I22&gt;=10, 0.732, 0.88)</f>
        <v>0.88</v>
      </c>
      <c r="K22" s="41">
        <f t="shared" si="1"/>
        <v>0.88</v>
      </c>
    </row>
    <row r="23">
      <c r="C23" s="38" t="s">
        <v>39</v>
      </c>
      <c r="D23" s="38" t="s">
        <v>52</v>
      </c>
      <c r="E23" s="38" t="s">
        <v>41</v>
      </c>
      <c r="F23" s="38" t="s">
        <v>53</v>
      </c>
      <c r="G23" s="38" t="s">
        <v>54</v>
      </c>
      <c r="H23" s="38" t="s">
        <v>48</v>
      </c>
      <c r="I23" s="39">
        <v>1.0</v>
      </c>
      <c r="J23" s="41">
        <f>IF(I23&gt;=10, 0.781, 0.94)</f>
        <v>0.94</v>
      </c>
      <c r="K23" s="41">
        <f t="shared" si="1"/>
        <v>0.94</v>
      </c>
    </row>
    <row r="24">
      <c r="C24" s="38" t="s">
        <v>55</v>
      </c>
      <c r="D24" s="39">
        <v>7.05530001E8</v>
      </c>
      <c r="E24" s="38" t="s">
        <v>56</v>
      </c>
      <c r="F24" s="38" t="s">
        <v>57</v>
      </c>
      <c r="G24" s="38" t="s">
        <v>58</v>
      </c>
      <c r="H24" s="38" t="s">
        <v>59</v>
      </c>
      <c r="I24" s="39">
        <v>3.0</v>
      </c>
      <c r="J24" s="41">
        <v>0.72</v>
      </c>
      <c r="K24" s="41">
        <f t="shared" si="1"/>
        <v>2.16</v>
      </c>
    </row>
    <row r="25">
      <c r="C25" s="38" t="s">
        <v>55</v>
      </c>
      <c r="D25" s="39">
        <v>7.05530003E8</v>
      </c>
      <c r="E25" s="38" t="s">
        <v>56</v>
      </c>
      <c r="F25" s="38" t="s">
        <v>60</v>
      </c>
      <c r="G25" s="38" t="s">
        <v>61</v>
      </c>
      <c r="H25" s="38" t="s">
        <v>62</v>
      </c>
      <c r="I25" s="39">
        <v>1.0</v>
      </c>
      <c r="J25" s="41">
        <f>IF(I25&gt;=10, 1.019, 1.16)</f>
        <v>1.16</v>
      </c>
      <c r="K25" s="41">
        <f t="shared" si="1"/>
        <v>1.16</v>
      </c>
    </row>
    <row r="26">
      <c r="C26" s="38" t="s">
        <v>55</v>
      </c>
      <c r="D26" s="39">
        <v>7.05530005E8</v>
      </c>
      <c r="E26" s="38" t="s">
        <v>56</v>
      </c>
      <c r="F26" s="38" t="s">
        <v>63</v>
      </c>
      <c r="G26" s="38" t="s">
        <v>64</v>
      </c>
      <c r="H26" s="38" t="s">
        <v>65</v>
      </c>
      <c r="I26" s="39">
        <v>2.0</v>
      </c>
      <c r="J26" s="41">
        <f>IF(I26&gt;=10, 1.636, 1.8)</f>
        <v>1.8</v>
      </c>
      <c r="K26" s="41">
        <f t="shared" si="1"/>
        <v>3.6</v>
      </c>
    </row>
    <row r="27">
      <c r="C27" s="38" t="s">
        <v>55</v>
      </c>
      <c r="D27" s="39">
        <v>7.05430001E8</v>
      </c>
      <c r="E27" s="38" t="s">
        <v>56</v>
      </c>
      <c r="F27" s="38" t="s">
        <v>66</v>
      </c>
      <c r="G27" s="38" t="s">
        <v>67</v>
      </c>
      <c r="H27" s="38" t="s">
        <v>68</v>
      </c>
      <c r="I27" s="39">
        <v>2.0</v>
      </c>
      <c r="J27" s="41">
        <f>IF(I27&gt;=10, 0.736, 0.84)</f>
        <v>0.84</v>
      </c>
      <c r="K27" s="41">
        <f t="shared" si="1"/>
        <v>1.68</v>
      </c>
    </row>
    <row r="28">
      <c r="C28" s="38" t="s">
        <v>55</v>
      </c>
      <c r="D28" s="39">
        <v>7.05430002E8</v>
      </c>
      <c r="E28" s="38" t="s">
        <v>56</v>
      </c>
      <c r="F28" s="38" t="s">
        <v>69</v>
      </c>
      <c r="G28" s="38" t="s">
        <v>70</v>
      </c>
      <c r="H28" s="38" t="s">
        <v>71</v>
      </c>
      <c r="I28" s="39">
        <v>4.0</v>
      </c>
      <c r="J28" s="41">
        <f>IF(I28&gt;=10, 0.805, 0.92)</f>
        <v>0.92</v>
      </c>
      <c r="K28" s="41">
        <f t="shared" si="1"/>
        <v>3.68</v>
      </c>
    </row>
    <row r="29">
      <c r="C29" s="38" t="s">
        <v>55</v>
      </c>
      <c r="D29" s="38" t="s">
        <v>72</v>
      </c>
      <c r="E29" s="38" t="s">
        <v>56</v>
      </c>
      <c r="F29" s="38" t="s">
        <v>73</v>
      </c>
      <c r="G29" s="38" t="s">
        <v>74</v>
      </c>
      <c r="H29" s="38"/>
      <c r="I29" s="39">
        <v>5.0</v>
      </c>
      <c r="J29" s="41">
        <f>IF(I29&gt;=10, 0.257, 0.27)</f>
        <v>0.27</v>
      </c>
      <c r="K29" s="41">
        <f t="shared" si="1"/>
        <v>1.35</v>
      </c>
    </row>
    <row r="30">
      <c r="C30" s="38" t="s">
        <v>55</v>
      </c>
      <c r="D30" s="38" t="s">
        <v>75</v>
      </c>
      <c r="E30" s="38" t="s">
        <v>56</v>
      </c>
      <c r="F30" s="38" t="s">
        <v>76</v>
      </c>
      <c r="G30" s="38" t="s">
        <v>77</v>
      </c>
      <c r="H30" s="38"/>
      <c r="I30" s="39">
        <v>4.0</v>
      </c>
      <c r="J30" s="41">
        <f>IF(I30&gt;=10, 0.218, 0.3)</f>
        <v>0.3</v>
      </c>
      <c r="K30" s="41">
        <f t="shared" si="1"/>
        <v>1.2</v>
      </c>
    </row>
    <row r="31">
      <c r="C31" s="38" t="s">
        <v>55</v>
      </c>
      <c r="D31" s="38" t="s">
        <v>78</v>
      </c>
      <c r="E31" s="38" t="s">
        <v>56</v>
      </c>
      <c r="F31" s="38" t="s">
        <v>79</v>
      </c>
      <c r="G31" s="38" t="s">
        <v>80</v>
      </c>
      <c r="H31" s="38"/>
      <c r="I31" s="39">
        <v>1.0</v>
      </c>
      <c r="J31" s="41">
        <f>IF(I31&gt;=10, 0.25, 0.26)</f>
        <v>0.26</v>
      </c>
      <c r="K31" s="41">
        <f t="shared" si="1"/>
        <v>0.26</v>
      </c>
    </row>
    <row r="32">
      <c r="C32" s="38" t="s">
        <v>55</v>
      </c>
      <c r="D32" s="38" t="s">
        <v>81</v>
      </c>
      <c r="E32" s="38" t="s">
        <v>56</v>
      </c>
      <c r="F32" s="38" t="s">
        <v>82</v>
      </c>
      <c r="G32" s="38" t="s">
        <v>83</v>
      </c>
      <c r="H32" s="38"/>
      <c r="I32" s="39">
        <v>2.0</v>
      </c>
      <c r="J32" s="41">
        <f>IF(I32&gt;=10, 0.372, 0.39)</f>
        <v>0.39</v>
      </c>
      <c r="K32" s="41">
        <f t="shared" si="1"/>
        <v>0.78</v>
      </c>
    </row>
    <row r="33">
      <c r="C33" s="38" t="s">
        <v>55</v>
      </c>
      <c r="D33" s="39">
        <v>1.6020103E7</v>
      </c>
      <c r="E33" s="38" t="s">
        <v>56</v>
      </c>
      <c r="F33" s="38" t="s">
        <v>84</v>
      </c>
      <c r="G33" s="38" t="s">
        <v>85</v>
      </c>
      <c r="H33" s="38" t="s">
        <v>86</v>
      </c>
      <c r="I33" s="39">
        <v>38.0</v>
      </c>
      <c r="J33" s="41">
        <f>IF(I33&gt;=25, 0.1416, IF(I33&gt;=10, 0.166, 0.18))</f>
        <v>0.1416</v>
      </c>
      <c r="K33" s="41">
        <f t="shared" si="1"/>
        <v>5.3808</v>
      </c>
    </row>
    <row r="34">
      <c r="C34" s="38" t="s">
        <v>39</v>
      </c>
      <c r="D34" s="38" t="s">
        <v>87</v>
      </c>
      <c r="E34" s="38" t="s">
        <v>56</v>
      </c>
      <c r="F34" s="38" t="s">
        <v>88</v>
      </c>
      <c r="G34" s="38" t="s">
        <v>89</v>
      </c>
      <c r="H34" s="38" t="s">
        <v>90</v>
      </c>
      <c r="I34" s="39">
        <v>1.0</v>
      </c>
      <c r="J34" s="41">
        <f>IF(I34&gt;=10, 1.238, 1.5)</f>
        <v>1.5</v>
      </c>
      <c r="K34" s="41">
        <f t="shared" si="1"/>
        <v>1.5</v>
      </c>
    </row>
    <row r="35">
      <c r="C35" s="38" t="s">
        <v>39</v>
      </c>
      <c r="D35" s="38" t="s">
        <v>91</v>
      </c>
      <c r="E35" s="38" t="s">
        <v>56</v>
      </c>
      <c r="F35" s="38" t="s">
        <v>92</v>
      </c>
      <c r="G35" s="38" t="s">
        <v>93</v>
      </c>
      <c r="H35" s="38" t="s">
        <v>94</v>
      </c>
      <c r="I35" s="39">
        <v>2.0</v>
      </c>
      <c r="J35" s="41">
        <f>IF(I35&gt;=10, 0.818, 0.98)</f>
        <v>0.98</v>
      </c>
      <c r="K35" s="41">
        <f t="shared" si="1"/>
        <v>1.96</v>
      </c>
    </row>
    <row r="36">
      <c r="C36" s="38" t="s">
        <v>95</v>
      </c>
      <c r="D36" s="38" t="s">
        <v>96</v>
      </c>
      <c r="E36" s="38" t="s">
        <v>56</v>
      </c>
      <c r="F36" s="38" t="s">
        <v>97</v>
      </c>
      <c r="G36" s="38" t="s">
        <v>98</v>
      </c>
      <c r="H36" s="38" t="s">
        <v>99</v>
      </c>
      <c r="I36" s="39">
        <v>1.0</v>
      </c>
      <c r="J36" s="41">
        <f>IF(I36&gt;=10, 5.236, 5.83)</f>
        <v>5.83</v>
      </c>
      <c r="K36" s="41">
        <f t="shared" si="1"/>
        <v>5.83</v>
      </c>
    </row>
    <row r="37">
      <c r="C37" s="38" t="s">
        <v>100</v>
      </c>
      <c r="D37" s="38" t="s">
        <v>101</v>
      </c>
      <c r="E37" s="38" t="s">
        <v>56</v>
      </c>
      <c r="F37" s="38" t="s">
        <v>102</v>
      </c>
      <c r="G37" s="38" t="s">
        <v>103</v>
      </c>
      <c r="H37" s="38" t="s">
        <v>104</v>
      </c>
      <c r="I37" s="39">
        <v>1.0</v>
      </c>
      <c r="J37" s="41">
        <v>1.1</v>
      </c>
      <c r="K37" s="41">
        <f t="shared" si="1"/>
        <v>1.1</v>
      </c>
    </row>
    <row r="38">
      <c r="C38" s="38" t="s">
        <v>105</v>
      </c>
      <c r="D38" s="38" t="s">
        <v>106</v>
      </c>
      <c r="E38" s="38" t="s">
        <v>56</v>
      </c>
      <c r="F38" s="38" t="s">
        <v>107</v>
      </c>
      <c r="G38" s="38" t="s">
        <v>108</v>
      </c>
      <c r="H38" s="38" t="s">
        <v>109</v>
      </c>
      <c r="I38" s="39">
        <v>1.0</v>
      </c>
      <c r="J38" s="41">
        <f>IF(I38&gt;=10, 0.885, 0.9)</f>
        <v>0.9</v>
      </c>
      <c r="K38" s="41">
        <f t="shared" si="1"/>
        <v>0.9</v>
      </c>
    </row>
    <row r="39">
      <c r="C39" s="38" t="s">
        <v>110</v>
      </c>
      <c r="D39" s="39">
        <v>5000.0</v>
      </c>
      <c r="E39" s="38" t="s">
        <v>41</v>
      </c>
      <c r="F39" s="38" t="str">
        <f t="shared" ref="F39:F43" si="2">CONCAT("534-", D39)</f>
        <v>534-5000</v>
      </c>
      <c r="G39" s="38" t="s">
        <v>111</v>
      </c>
      <c r="H39" s="38" t="s">
        <v>112</v>
      </c>
      <c r="I39" s="39">
        <v>12.0</v>
      </c>
      <c r="J39" s="41">
        <f>IF(I39&gt;=10, 0.299, 0.32)</f>
        <v>0.299</v>
      </c>
      <c r="K39" s="41">
        <f t="shared" si="1"/>
        <v>3.588</v>
      </c>
    </row>
    <row r="40">
      <c r="C40" s="38" t="s">
        <v>110</v>
      </c>
      <c r="D40" s="39">
        <v>5001.0</v>
      </c>
      <c r="E40" s="38" t="s">
        <v>41</v>
      </c>
      <c r="F40" s="38" t="str">
        <f t="shared" si="2"/>
        <v>534-5001</v>
      </c>
      <c r="G40" s="38" t="s">
        <v>111</v>
      </c>
      <c r="H40" s="38" t="s">
        <v>113</v>
      </c>
      <c r="I40" s="39">
        <v>18.0</v>
      </c>
      <c r="J40" s="41">
        <f t="shared" ref="J40:J41" si="3">IF(I40&gt;=10, 0.299, 0.33)</f>
        <v>0.299</v>
      </c>
      <c r="K40" s="41">
        <f t="shared" si="1"/>
        <v>5.382</v>
      </c>
    </row>
    <row r="41">
      <c r="C41" s="38" t="s">
        <v>110</v>
      </c>
      <c r="D41" s="39">
        <v>5002.0</v>
      </c>
      <c r="E41" s="38" t="s">
        <v>41</v>
      </c>
      <c r="F41" s="38" t="str">
        <f t="shared" si="2"/>
        <v>534-5002</v>
      </c>
      <c r="G41" s="38" t="s">
        <v>111</v>
      </c>
      <c r="H41" s="38" t="s">
        <v>114</v>
      </c>
      <c r="I41" s="39">
        <v>40.0</v>
      </c>
      <c r="J41" s="41">
        <f t="shared" si="3"/>
        <v>0.299</v>
      </c>
      <c r="K41" s="41">
        <f t="shared" si="1"/>
        <v>11.96</v>
      </c>
    </row>
    <row r="42">
      <c r="C42" s="38" t="s">
        <v>110</v>
      </c>
      <c r="D42" s="39">
        <v>5003.0</v>
      </c>
      <c r="E42" s="38" t="s">
        <v>41</v>
      </c>
      <c r="F42" s="38" t="str">
        <f t="shared" si="2"/>
        <v>534-5003</v>
      </c>
      <c r="G42" s="38" t="s">
        <v>111</v>
      </c>
      <c r="H42" s="38" t="s">
        <v>115</v>
      </c>
      <c r="I42" s="39">
        <v>10.0</v>
      </c>
      <c r="J42" s="41">
        <f t="shared" ref="J42:J43" si="4">IF(I42&gt;=10, 0.299, 0.32)</f>
        <v>0.299</v>
      </c>
      <c r="K42" s="41">
        <f t="shared" si="1"/>
        <v>2.99</v>
      </c>
    </row>
    <row r="43">
      <c r="C43" s="38" t="s">
        <v>110</v>
      </c>
      <c r="D43" s="39">
        <v>5004.0</v>
      </c>
      <c r="E43" s="38" t="s">
        <v>41</v>
      </c>
      <c r="F43" s="38" t="str">
        <f t="shared" si="2"/>
        <v>534-5004</v>
      </c>
      <c r="G43" s="38" t="s">
        <v>111</v>
      </c>
      <c r="H43" s="38" t="s">
        <v>116</v>
      </c>
      <c r="I43" s="39">
        <v>10.0</v>
      </c>
      <c r="J43" s="41">
        <f t="shared" si="4"/>
        <v>0.299</v>
      </c>
      <c r="K43" s="41">
        <f t="shared" si="1"/>
        <v>2.99</v>
      </c>
    </row>
    <row r="44">
      <c r="C44" s="38" t="s">
        <v>117</v>
      </c>
      <c r="D44" s="39">
        <v>13762.0</v>
      </c>
      <c r="E44" s="38" t="s">
        <v>117</v>
      </c>
      <c r="F44" s="38" t="s">
        <v>118</v>
      </c>
      <c r="G44" s="38" t="s">
        <v>119</v>
      </c>
      <c r="H44" s="38"/>
      <c r="I44" s="39">
        <v>1.0</v>
      </c>
      <c r="J44" s="41">
        <v>14.95</v>
      </c>
      <c r="K44" s="41">
        <f t="shared" si="1"/>
        <v>14.95</v>
      </c>
    </row>
  </sheetData>
  <mergeCells count="3">
    <mergeCell ref="C17:G18"/>
    <mergeCell ref="C2:G3"/>
    <mergeCell ref="I2:N3"/>
  </mergeCells>
  <drawing r:id="rId1"/>
</worksheet>
</file>